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puts" sheetId="1" r:id="rId4"/>
    <sheet state="visible" name="Dashboard" sheetId="2" r:id="rId5"/>
    <sheet state="visible" name="FIRE Number" sheetId="3" r:id="rId6"/>
    <sheet state="visible" name="Coast FIRE" sheetId="4" r:id="rId7"/>
    <sheet state="visible" name="Projection" sheetId="5" r:id="rId8"/>
  </sheets>
  <definedNames/>
  <calcPr/>
  <extLst>
    <ext uri="GoogleSheetsCustomDataVersion2">
      <go:sheetsCustomData xmlns:go="http://customooxmlschemas.google.com/" r:id="rId9" roundtripDataChecksum="MBrmW+/UUCsBdRiCbI+vJr985h+REu3dr1YKZn+0lxU="/>
    </ext>
  </extLst>
</workbook>
</file>

<file path=xl/sharedStrings.xml><?xml version="1.0" encoding="utf-8"?>
<sst xmlns="http://schemas.openxmlformats.org/spreadsheetml/2006/main" count="111" uniqueCount="94">
  <si>
    <t>FIRE Planning - Inputs</t>
  </si>
  <si>
    <t>firenum.com</t>
  </si>
  <si>
    <t>Personal Information</t>
  </si>
  <si>
    <t>Current Age</t>
  </si>
  <si>
    <t>Your current age</t>
  </si>
  <si>
    <t>Target Retirement Age</t>
  </si>
  <si>
    <t>When you want to reach FIRE</t>
  </si>
  <si>
    <t>Current Finances</t>
  </si>
  <si>
    <t>Total Assets</t>
  </si>
  <si>
    <t>Investments, savings, property</t>
  </si>
  <si>
    <t>Total Liabilities</t>
  </si>
  <si>
    <t>Mortgage, loans, debt</t>
  </si>
  <si>
    <t>Annual Income</t>
  </si>
  <si>
    <t>Gross annual income</t>
  </si>
  <si>
    <t>Annual Expenses</t>
  </si>
  <si>
    <t>Total annual spending</t>
  </si>
  <si>
    <t>Annual Savings</t>
  </si>
  <si>
    <t>Income minus expenses</t>
  </si>
  <si>
    <t>Net Worth</t>
  </si>
  <si>
    <t>Assets minus liabilities</t>
  </si>
  <si>
    <t>Assumptions</t>
  </si>
  <si>
    <t>Expected Return Rate</t>
  </si>
  <si>
    <t>Annual investment return (7% typical)</t>
  </si>
  <si>
    <t>Inflation Rate</t>
  </si>
  <si>
    <t>Annual inflation (3% typical)</t>
  </si>
  <si>
    <t>Safe Withdrawal Rate</t>
  </si>
  <si>
    <t>4% rule (traditional FIRE)</t>
  </si>
  <si>
    <t>Real Return Rate</t>
  </si>
  <si>
    <t>Return adjusted for inflation</t>
  </si>
  <si>
    <t>Quick Navigation</t>
  </si>
  <si>
    <t>Edit your inputs.</t>
  </si>
  <si>
    <t>See your the overview in the dashboard.</t>
  </si>
  <si>
    <t>See your FIRE number breakdown: 'FIRE Number' tab.</t>
  </si>
  <si>
    <t>Check Coast FIRE status: 'Coast FIRE' tab.</t>
  </si>
  <si>
    <t>View year-by-year projection: 'Projection' tab.</t>
  </si>
  <si>
    <t>firenum.com - Free FIRE calculators and tools</t>
  </si>
  <si>
    <t>FIRE Planning - Dashboard</t>
  </si>
  <si>
    <t>Key Metrics</t>
  </si>
  <si>
    <t>Years to FIRE</t>
  </si>
  <si>
    <t>FIRE Number</t>
  </si>
  <si>
    <t>Savings Rate</t>
  </si>
  <si>
    <t>Progress to FIRE</t>
  </si>
  <si>
    <t>Coast FIRE Number</t>
  </si>
  <si>
    <t>FIRE Milestones</t>
  </si>
  <si>
    <t>Milestone</t>
  </si>
  <si>
    <t>Target</t>
  </si>
  <si>
    <t>Reached?</t>
  </si>
  <si>
    <t>25% - Foundation</t>
  </si>
  <si>
    <t>50% - Halfway</t>
  </si>
  <si>
    <t>75% - Home Stretch</t>
  </si>
  <si>
    <t>100% - FIRE!</t>
  </si>
  <si>
    <t>Edit your inputs: Go to 'Inputs' tab</t>
  </si>
  <si>
    <t>See your FIRE number breakdown: 'FIRE Number' tab</t>
  </si>
  <si>
    <t>Check Coast FIRE status: 'Coast FIRE' tab</t>
  </si>
  <si>
    <t>View year-by-year projection: 'Projection' tab</t>
  </si>
  <si>
    <t>FIRE Planning - Numbers</t>
  </si>
  <si>
    <t>Your FIRE Number</t>
  </si>
  <si>
    <t>Withdrawal Rate</t>
  </si>
  <si>
    <t xml:space="preserve"> = Annual Expenses ÷ SWR</t>
  </si>
  <si>
    <t>The Math</t>
  </si>
  <si>
    <t>25x Rule:</t>
  </si>
  <si>
    <t>Annual expenses × 25</t>
  </si>
  <si>
    <t>Scenario: Different Expense Levels</t>
  </si>
  <si>
    <t>Lean FIRE (70%)</t>
  </si>
  <si>
    <t>Standard FIRE (100%)</t>
  </si>
  <si>
    <t>Fat FIRE (150%)</t>
  </si>
  <si>
    <t>Scenario: Different Withdrawal Rates</t>
  </si>
  <si>
    <t>3% SWR (Conservative)</t>
  </si>
  <si>
    <t>3.5% SWR</t>
  </si>
  <si>
    <t>4% SWR (Traditional)</t>
  </si>
  <si>
    <t>4.5% SWR (Aggressive)</t>
  </si>
  <si>
    <t>FIRE Planning - Coast FIRE</t>
  </si>
  <si>
    <t>What is Coast FIRE?</t>
  </si>
  <si>
    <t>Coast FIRE is the point where your investments will grow to your FIRE number by retirement age without additional contributions.</t>
  </si>
  <si>
    <t>Your Numbers</t>
  </si>
  <si>
    <t>Current Net Worth</t>
  </si>
  <si>
    <t>Years to Retirement</t>
  </si>
  <si>
    <t>Amount needed today to coast</t>
  </si>
  <si>
    <t>Have you reached Coast FIRE?</t>
  </si>
  <si>
    <t>Gap to Coast FIRE</t>
  </si>
  <si>
    <t>Coast FIRE at Different Retirement Ages</t>
  </si>
  <si>
    <t>Coast to age 55</t>
  </si>
  <si>
    <t>Coast to age 60</t>
  </si>
  <si>
    <t>Coast to age 65</t>
  </si>
  <si>
    <t>Coast to age 67</t>
  </si>
  <si>
    <t>FIRE Planning - Projection</t>
  </si>
  <si>
    <t>Starting Net Worth:</t>
  </si>
  <si>
    <t>FIRE Number:</t>
  </si>
  <si>
    <t>Annual Savings:</t>
  </si>
  <si>
    <t>Year</t>
  </si>
  <si>
    <t>Age</t>
  </si>
  <si>
    <t>Growth</t>
  </si>
  <si>
    <t>Savings</t>
  </si>
  <si>
    <t>Years to FIRE: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</si>
</sst>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$#,##0"/>
    <numFmt numFmtId="165" formatCode="0.0%"/>
  </numFmts>
  <fonts count="20">
    <font>
      <sz val="11.0"/>
      <color theme="1"/>
      <name val="Calibri"/>
      <scheme val="minor"/>
    </font>
    <font>
      <b/>
      <sz val="18.0"/>
      <color rgb="FF333333"/>
      <name val="Calibri"/>
      <scheme val="minor"/>
    </font>
    <font>
      <b/>
      <sz val="11.0"/>
      <color rgb="FF22C55E"/>
      <name val="Calibri"/>
      <scheme val="minor"/>
    </font>
    <font>
      <b/>
      <sz val="11.0"/>
      <color rgb="FF333333"/>
      <name val="Calibri"/>
      <scheme val="minor"/>
    </font>
    <font>
      <sz val="10.0"/>
      <color rgb="FF333333"/>
      <name val="Calibri"/>
      <scheme val="minor"/>
    </font>
    <font>
      <color rgb="FF0066CC"/>
      <name val="Calibri"/>
      <scheme val="minor"/>
    </font>
    <font>
      <i/>
      <sz val="9.0"/>
      <color rgb="FF888888"/>
      <name val="Calibri"/>
      <scheme val="minor"/>
    </font>
    <font>
      <color rgb="FF333333"/>
      <name val="Calibri"/>
      <scheme val="minor"/>
    </font>
    <font>
      <b/>
      <sz val="10.0"/>
      <color rgb="FF333333"/>
      <name val="Calibri"/>
      <scheme val="minor"/>
    </font>
    <font>
      <sz val="10.0"/>
      <color rgb="FF666666"/>
      <name val="Calibri"/>
      <scheme val="minor"/>
    </font>
    <font>
      <i/>
      <sz val="9.0"/>
      <color rgb="FF666666"/>
      <name val="Calibri"/>
      <scheme val="minor"/>
    </font>
    <font>
      <b/>
      <sz val="14.0"/>
      <color rgb="FF22C55E"/>
      <name val="Calibri"/>
      <scheme val="minor"/>
    </font>
    <font>
      <b/>
      <sz val="10.0"/>
      <color theme="1"/>
      <name val="Calibri"/>
      <scheme val="minor"/>
    </font>
    <font>
      <color rgb="FF008000"/>
      <name val="Calibri"/>
      <scheme val="minor"/>
    </font>
    <font>
      <b/>
      <sz val="12.0"/>
      <color rgb="FF333333"/>
      <name val="Calibri"/>
      <scheme val="minor"/>
    </font>
    <font>
      <b/>
      <sz val="12.0"/>
      <color rgb="FF22C55E"/>
      <name val="Calibri"/>
      <scheme val="minor"/>
    </font>
    <font>
      <i/>
      <sz val="10.0"/>
      <color rgb="FF666666"/>
      <name val="Calibri"/>
      <scheme val="minor"/>
    </font>
    <font>
      <b/>
      <sz val="11.0"/>
      <color theme="1"/>
      <name val="Calibri"/>
      <scheme val="minor"/>
    </font>
    <font>
      <b/>
      <sz val="10.0"/>
      <color rgb="FFFFFFFF"/>
      <name val="Calibri"/>
      <scheme val="minor"/>
    </font>
    <font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E8F4FD"/>
        <bgColor rgb="FFE8F4FD"/>
      </patternFill>
    </fill>
    <fill>
      <patternFill patternType="solid">
        <fgColor rgb="FFE8FDE8"/>
        <bgColor rgb="FFE8FDE8"/>
      </patternFill>
    </fill>
    <fill>
      <patternFill patternType="solid">
        <fgColor rgb="FF333333"/>
        <bgColor rgb="FF333333"/>
      </patternFill>
    </fill>
  </fills>
  <borders count="2">
    <border/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0" fillId="0" fontId="4" numFmtId="0" xfId="0" applyFont="1"/>
    <xf borderId="1" fillId="2" fontId="5" numFmtId="0" xfId="0" applyAlignment="1" applyBorder="1" applyFill="1" applyFont="1">
      <alignment readingOrder="0"/>
    </xf>
    <xf borderId="0" fillId="0" fontId="6" numFmtId="0" xfId="0" applyFont="1"/>
    <xf borderId="1" fillId="2" fontId="5" numFmtId="164" xfId="0" applyAlignment="1" applyBorder="1" applyFont="1" applyNumberFormat="1">
      <alignment readingOrder="0"/>
    </xf>
    <xf borderId="1" fillId="2" fontId="5" numFmtId="164" xfId="0" applyBorder="1" applyFont="1" applyNumberFormat="1"/>
    <xf borderId="1" fillId="3" fontId="7" numFmtId="164" xfId="0" applyBorder="1" applyFill="1" applyFont="1" applyNumberFormat="1"/>
    <xf borderId="0" fillId="0" fontId="8" numFmtId="0" xfId="0" applyFont="1"/>
    <xf borderId="1" fillId="2" fontId="5" numFmtId="165" xfId="0" applyBorder="1" applyFont="1" applyNumberFormat="1"/>
    <xf borderId="1" fillId="3" fontId="7" numFmtId="165" xfId="0" applyBorder="1" applyFont="1" applyNumberFormat="1"/>
    <xf borderId="0" fillId="0" fontId="9" numFmtId="0" xfId="0" applyAlignment="1" applyFont="1">
      <alignment readingOrder="0"/>
    </xf>
    <xf borderId="0" fillId="0" fontId="10" numFmtId="0" xfId="0" applyAlignment="1" applyFont="1">
      <alignment horizontal="center"/>
    </xf>
    <xf borderId="1" fillId="3" fontId="11" numFmtId="164" xfId="0" applyBorder="1" applyFont="1" applyNumberFormat="1"/>
    <xf borderId="1" fillId="3" fontId="11" numFmtId="1" xfId="0" applyBorder="1" applyFont="1" applyNumberFormat="1"/>
    <xf borderId="1" fillId="3" fontId="11" numFmtId="165" xfId="0" applyBorder="1" applyFont="1" applyNumberFormat="1"/>
    <xf borderId="0" fillId="0" fontId="12" numFmtId="0" xfId="0" applyFont="1"/>
    <xf borderId="0" fillId="0" fontId="7" numFmtId="164" xfId="0" applyFont="1" applyNumberFormat="1"/>
    <xf borderId="0" fillId="0" fontId="7" numFmtId="0" xfId="0" applyFont="1"/>
    <xf borderId="0" fillId="0" fontId="9" numFmtId="0" xfId="0" applyFont="1"/>
    <xf borderId="0" fillId="0" fontId="13" numFmtId="164" xfId="0" applyFont="1" applyNumberFormat="1"/>
    <xf borderId="0" fillId="0" fontId="13" numFmtId="165" xfId="0" applyFont="1" applyNumberFormat="1"/>
    <xf borderId="0" fillId="0" fontId="14" numFmtId="0" xfId="0" applyFont="1"/>
    <xf borderId="1" fillId="3" fontId="15" numFmtId="164" xfId="0" applyBorder="1" applyFont="1" applyNumberFormat="1"/>
    <xf borderId="0" fillId="0" fontId="6" numFmtId="0" xfId="0" applyAlignment="1" applyFont="1">
      <alignment readingOrder="0"/>
    </xf>
    <xf borderId="0" fillId="0" fontId="16" numFmtId="0" xfId="0" applyAlignment="1" applyFont="1">
      <alignment shrinkToFit="0" wrapText="1"/>
    </xf>
    <xf borderId="0" fillId="0" fontId="13" numFmtId="0" xfId="0" applyFont="1"/>
    <xf borderId="1" fillId="3" fontId="2" numFmtId="164" xfId="0" applyBorder="1" applyFont="1" applyNumberFormat="1"/>
    <xf borderId="1" fillId="3" fontId="17" numFmtId="0" xfId="0" applyBorder="1" applyFont="1"/>
    <xf borderId="1" fillId="4" fontId="18" numFmtId="0" xfId="0" applyAlignment="1" applyBorder="1" applyFill="1" applyFont="1">
      <alignment horizontal="center"/>
    </xf>
    <xf borderId="1" fillId="0" fontId="19" numFmtId="0" xfId="0" applyBorder="1" applyFont="1"/>
    <xf borderId="1" fillId="0" fontId="13" numFmtId="0" xfId="0" applyBorder="1" applyFont="1"/>
    <xf borderId="1" fillId="0" fontId="13" numFmtId="164" xfId="0" applyBorder="1" applyFont="1" applyNumberFormat="1"/>
    <xf borderId="1" fillId="0" fontId="19" numFmtId="164" xfId="0" applyBorder="1" applyFont="1" applyNumberFormat="1"/>
    <xf borderId="1" fillId="0" fontId="7" numFmtId="0" xfId="0" applyBorder="1" applyFont="1"/>
    <xf borderId="1" fillId="0" fontId="7" numFmtId="164" xfId="0" applyBorder="1" applyFont="1" applyNumberFormat="1"/>
    <xf borderId="1" fillId="3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b="1" i="0">
                <a:solidFill>
                  <a:srgbClr val="757575"/>
                </a:solidFill>
                <a:latin typeface="+mn-lt"/>
              </a:rPr>
              <a:t>Path to FIRE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Projection!$C$7</c:f>
            </c:strRef>
          </c:tx>
          <c:spPr>
            <a:ln cmpd="sng" w="19050">
              <a:solidFill>
                <a:srgbClr val="4F81BD"/>
              </a:solidFill>
              <a:prstDash val="solid"/>
            </a:ln>
          </c:spPr>
          <c:marker>
            <c:symbol val="none"/>
          </c:marker>
          <c:cat>
            <c:strRef>
              <c:f>Projection!$A$8:$A$48</c:f>
            </c:strRef>
          </c:cat>
          <c:val>
            <c:numRef>
              <c:f>Projection!$C$8:$C$48</c:f>
              <c:numCache/>
            </c:numRef>
          </c:val>
          <c:smooth val="0"/>
        </c:ser>
        <c:ser>
          <c:idx val="1"/>
          <c:order val="1"/>
          <c:tx>
            <c:strRef>
              <c:f>Projection!$F$7</c:f>
            </c:strRef>
          </c:tx>
          <c:spPr>
            <a:ln cmpd="sng" w="19050">
              <a:solidFill>
                <a:srgbClr val="C0504D"/>
              </a:solidFill>
              <a:prstDash val="solid"/>
            </a:ln>
          </c:spPr>
          <c:marker>
            <c:symbol val="none"/>
          </c:marker>
          <c:cat>
            <c:strRef>
              <c:f>Projection!$A$8:$A$48</c:f>
            </c:strRef>
          </c:cat>
          <c:val>
            <c:numRef>
              <c:f>Projection!$F$8:$F$48</c:f>
              <c:numCache/>
            </c:numRef>
          </c:val>
          <c:smooth val="0"/>
        </c:ser>
        <c:axId val="750388283"/>
        <c:axId val="1539337651"/>
      </c:lineChart>
      <c:catAx>
        <c:axId val="7503882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Years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39337651"/>
      </c:catAx>
      <c:valAx>
        <c:axId val="153933765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b="1" i="0">
                    <a:solidFill>
                      <a:srgbClr val="000000"/>
                    </a:solidFill>
                    <a:latin typeface="+mn-lt"/>
                  </a:rPr>
                  <a:t>Net Worth ($)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5038828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2</xdr:row>
      <xdr:rowOff>0</xdr:rowOff>
    </xdr:from>
    <xdr:ext cx="6477000" cy="4314825"/>
    <xdr:graphicFrame>
      <xdr:nvGraphicFramePr>
        <xdr:cNvPr id="1871673066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0"/>
    <col customWidth="1" min="2" max="2" width="15.0"/>
    <col customWidth="1" min="3" max="3" width="40.0"/>
    <col customWidth="1" min="4" max="26" width="8.71"/>
  </cols>
  <sheetData>
    <row r="1">
      <c r="A1" s="1" t="s">
        <v>0</v>
      </c>
    </row>
    <row r="2">
      <c r="A2" s="2" t="s">
        <v>1</v>
      </c>
    </row>
    <row r="3">
      <c r="A3" s="3"/>
    </row>
    <row r="4">
      <c r="A4" s="3" t="s">
        <v>2</v>
      </c>
    </row>
    <row r="5">
      <c r="A5" s="4" t="s">
        <v>3</v>
      </c>
      <c r="B5" s="5">
        <v>35.0</v>
      </c>
      <c r="C5" s="6" t="s">
        <v>4</v>
      </c>
    </row>
    <row r="6">
      <c r="A6" s="4" t="s">
        <v>5</v>
      </c>
      <c r="B6" s="5">
        <v>50.0</v>
      </c>
      <c r="C6" s="6" t="s">
        <v>6</v>
      </c>
    </row>
    <row r="8">
      <c r="A8" s="3" t="s">
        <v>7</v>
      </c>
    </row>
    <row r="9">
      <c r="A9" s="4" t="s">
        <v>8</v>
      </c>
      <c r="B9" s="7">
        <v>130000.0</v>
      </c>
      <c r="C9" s="6" t="s">
        <v>9</v>
      </c>
    </row>
    <row r="10">
      <c r="A10" s="4" t="s">
        <v>10</v>
      </c>
      <c r="B10" s="8">
        <v>0.0</v>
      </c>
      <c r="C10" s="6" t="s">
        <v>11</v>
      </c>
    </row>
    <row r="11">
      <c r="A11" s="4" t="s">
        <v>12</v>
      </c>
      <c r="B11" s="8">
        <v>75000.0</v>
      </c>
      <c r="C11" s="6" t="s">
        <v>13</v>
      </c>
    </row>
    <row r="12">
      <c r="A12" s="4" t="s">
        <v>14</v>
      </c>
      <c r="B12" s="8">
        <v>40000.0</v>
      </c>
      <c r="C12" s="6" t="s">
        <v>15</v>
      </c>
    </row>
    <row r="13">
      <c r="A13" s="4" t="s">
        <v>16</v>
      </c>
      <c r="B13" s="9">
        <f>B11-B12</f>
        <v>35000</v>
      </c>
      <c r="C13" s="6" t="s">
        <v>17</v>
      </c>
    </row>
    <row r="14">
      <c r="A14" s="10" t="s">
        <v>18</v>
      </c>
      <c r="B14" s="9">
        <f>B9-B10</f>
        <v>130000</v>
      </c>
      <c r="C14" s="6" t="s">
        <v>19</v>
      </c>
    </row>
    <row r="16">
      <c r="A16" s="3" t="s">
        <v>20</v>
      </c>
    </row>
    <row r="17">
      <c r="A17" s="4" t="s">
        <v>21</v>
      </c>
      <c r="B17" s="11">
        <v>0.07</v>
      </c>
      <c r="C17" s="6" t="s">
        <v>22</v>
      </c>
    </row>
    <row r="18">
      <c r="A18" s="4" t="s">
        <v>23</v>
      </c>
      <c r="B18" s="11">
        <v>0.03</v>
      </c>
      <c r="C18" s="6" t="s">
        <v>24</v>
      </c>
    </row>
    <row r="19">
      <c r="A19" s="4" t="s">
        <v>25</v>
      </c>
      <c r="B19" s="11">
        <v>0.04</v>
      </c>
      <c r="C19" s="6" t="s">
        <v>26</v>
      </c>
    </row>
    <row r="20">
      <c r="A20" s="4" t="s">
        <v>27</v>
      </c>
      <c r="B20" s="12">
        <f>(1+B17)/(1+B18)-1</f>
        <v>0.03883495146</v>
      </c>
      <c r="C20" s="6" t="s">
        <v>28</v>
      </c>
    </row>
    <row r="22" ht="15.75" customHeight="1"/>
    <row r="23" ht="15.75" customHeight="1">
      <c r="A23" s="3" t="s">
        <v>29</v>
      </c>
    </row>
    <row r="24" ht="15.75" customHeight="1">
      <c r="A24" s="13" t="s">
        <v>30</v>
      </c>
    </row>
    <row r="25" ht="15.75" customHeight="1">
      <c r="A25" s="13" t="s">
        <v>31</v>
      </c>
    </row>
    <row r="26" ht="15.75" customHeight="1">
      <c r="A26" s="13" t="s">
        <v>32</v>
      </c>
    </row>
    <row r="27" ht="15.75" customHeight="1">
      <c r="A27" s="13" t="s">
        <v>33</v>
      </c>
    </row>
    <row r="28" ht="15.75" customHeight="1">
      <c r="A28" s="13" t="s">
        <v>34</v>
      </c>
    </row>
    <row r="29" ht="15.75" customHeight="1"/>
    <row r="30" ht="15.75" customHeight="1"/>
    <row r="31" ht="15.75" customHeight="1">
      <c r="A31" s="14" t="s">
        <v>35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2">
    <mergeCell ref="A1:C1"/>
    <mergeCell ref="A31:F31"/>
  </mergeCells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2.14"/>
    <col customWidth="1" min="2" max="2" width="18.0"/>
    <col customWidth="1" min="3" max="3" width="5.0"/>
    <col customWidth="1" min="4" max="4" width="25.0"/>
    <col customWidth="1" min="5" max="5" width="18.0"/>
    <col customWidth="1" min="6" max="26" width="8.71"/>
  </cols>
  <sheetData>
    <row r="1">
      <c r="A1" s="1" t="s">
        <v>36</v>
      </c>
    </row>
    <row r="2">
      <c r="A2" s="2" t="s">
        <v>1</v>
      </c>
    </row>
    <row r="4">
      <c r="A4" s="3" t="s">
        <v>37</v>
      </c>
    </row>
    <row r="5">
      <c r="A5" s="4" t="s">
        <v>18</v>
      </c>
      <c r="B5" s="15">
        <f>Inputs!B14</f>
        <v>130000</v>
      </c>
      <c r="D5" s="4" t="s">
        <v>38</v>
      </c>
      <c r="E5" s="16">
        <f>Projection!C51</f>
        <v>13</v>
      </c>
    </row>
    <row r="7">
      <c r="A7" s="4" t="s">
        <v>39</v>
      </c>
      <c r="B7" s="15">
        <f>'FIRE Number'!B8</f>
        <v>1000000</v>
      </c>
      <c r="D7" s="4" t="s">
        <v>40</v>
      </c>
      <c r="E7" s="17">
        <f>Inputs!B13/Inputs!B11</f>
        <v>0.4666666667</v>
      </c>
    </row>
    <row r="9">
      <c r="A9" s="4" t="s">
        <v>41</v>
      </c>
      <c r="B9" s="17">
        <f>Inputs!B14/'FIRE Number'!B8</f>
        <v>0.13</v>
      </c>
      <c r="D9" s="4" t="s">
        <v>42</v>
      </c>
      <c r="E9" s="15">
        <f>'Coast FIRE'!B15</f>
        <v>362446.0196</v>
      </c>
    </row>
    <row r="12">
      <c r="A12" s="3" t="s">
        <v>43</v>
      </c>
    </row>
    <row r="13">
      <c r="A13" s="18" t="s">
        <v>44</v>
      </c>
      <c r="B13" s="18" t="s">
        <v>45</v>
      </c>
      <c r="D13" s="18" t="s">
        <v>46</v>
      </c>
    </row>
    <row r="14">
      <c r="A14" s="4" t="s">
        <v>47</v>
      </c>
      <c r="B14" s="19">
        <f>'FIRE Number'!B8*0.25</f>
        <v>250000</v>
      </c>
      <c r="D14" s="20" t="str">
        <f>IF(Inputs!B14&gt;='FIRE Number'!B8*0.25,"Yes","No")</f>
        <v>No</v>
      </c>
    </row>
    <row r="15">
      <c r="A15" s="4" t="s">
        <v>48</v>
      </c>
      <c r="B15" s="19">
        <f>'FIRE Number'!B8*0.5</f>
        <v>500000</v>
      </c>
      <c r="D15" s="20" t="str">
        <f>IF(Inputs!B14&gt;='FIRE Number'!B8*0.5,"Yes","No")</f>
        <v>No</v>
      </c>
    </row>
    <row r="16">
      <c r="A16" s="4" t="s">
        <v>49</v>
      </c>
      <c r="B16" s="19">
        <f>'FIRE Number'!B8*0.75</f>
        <v>750000</v>
      </c>
      <c r="D16" s="20" t="str">
        <f>IF(Inputs!B14&gt;='FIRE Number'!B8*0.75,"Yes","No")</f>
        <v>No</v>
      </c>
    </row>
    <row r="17">
      <c r="A17" s="4" t="s">
        <v>50</v>
      </c>
      <c r="B17" s="19">
        <f>'FIRE Number'!B8</f>
        <v>1000000</v>
      </c>
      <c r="D17" s="20" t="str">
        <f>IF(Inputs!B14&gt;='FIRE Number'!B8,"Yes","No")</f>
        <v>No</v>
      </c>
    </row>
    <row r="20">
      <c r="A20" s="3" t="s">
        <v>29</v>
      </c>
    </row>
    <row r="21" ht="15.75" customHeight="1">
      <c r="A21" s="21" t="s">
        <v>51</v>
      </c>
    </row>
    <row r="22" ht="15.75" customHeight="1">
      <c r="A22" s="21" t="s">
        <v>52</v>
      </c>
    </row>
    <row r="23" ht="15.75" customHeight="1">
      <c r="A23" s="21" t="s">
        <v>53</v>
      </c>
    </row>
    <row r="24" ht="15.75" customHeight="1">
      <c r="A24" s="21" t="s">
        <v>54</v>
      </c>
    </row>
    <row r="25" ht="15.75" customHeight="1"/>
    <row r="26" ht="15.75" customHeight="1"/>
    <row r="27" ht="15.75" customHeight="1">
      <c r="A27" s="14" t="s">
        <v>35</v>
      </c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E1"/>
    <mergeCell ref="A27:F27"/>
  </mergeCells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0"/>
    <col customWidth="1" min="2" max="2" width="18.0"/>
    <col customWidth="1" min="3" max="3" width="35.0"/>
    <col customWidth="1" min="4" max="26" width="8.71"/>
  </cols>
  <sheetData>
    <row r="1">
      <c r="A1" s="1" t="s">
        <v>55</v>
      </c>
    </row>
    <row r="3">
      <c r="A3" s="3" t="s">
        <v>56</v>
      </c>
    </row>
    <row r="5">
      <c r="A5" s="4" t="s">
        <v>14</v>
      </c>
      <c r="B5" s="22">
        <f>Inputs!B12</f>
        <v>40000</v>
      </c>
    </row>
    <row r="6">
      <c r="A6" s="4" t="s">
        <v>57</v>
      </c>
      <c r="B6" s="23">
        <f>Inputs!B19</f>
        <v>0.04</v>
      </c>
    </row>
    <row r="8">
      <c r="A8" s="24" t="s">
        <v>39</v>
      </c>
      <c r="B8" s="25">
        <f>B5/B6</f>
        <v>1000000</v>
      </c>
      <c r="C8" s="26" t="s">
        <v>58</v>
      </c>
    </row>
    <row r="10">
      <c r="A10" s="3" t="s">
        <v>59</v>
      </c>
    </row>
    <row r="11">
      <c r="A11" s="4" t="s">
        <v>60</v>
      </c>
      <c r="B11" s="19">
        <f>B5*25</f>
        <v>1000000</v>
      </c>
      <c r="C11" s="6" t="s">
        <v>61</v>
      </c>
    </row>
    <row r="14">
      <c r="A14" s="3" t="s">
        <v>62</v>
      </c>
    </row>
    <row r="16">
      <c r="A16" s="4" t="s">
        <v>63</v>
      </c>
      <c r="B16" s="19">
        <f>(B5*0.7)/B6</f>
        <v>700000</v>
      </c>
    </row>
    <row r="17">
      <c r="A17" s="4" t="s">
        <v>64</v>
      </c>
      <c r="B17" s="19">
        <f>B8</f>
        <v>1000000</v>
      </c>
    </row>
    <row r="18">
      <c r="A18" s="4" t="s">
        <v>65</v>
      </c>
      <c r="B18" s="19">
        <f>(B5*1.5)/B6</f>
        <v>1500000</v>
      </c>
    </row>
    <row r="20">
      <c r="A20" s="3" t="s">
        <v>66</v>
      </c>
    </row>
    <row r="21" ht="15.75" customHeight="1"/>
    <row r="22" ht="15.75" customHeight="1">
      <c r="A22" s="4" t="s">
        <v>67</v>
      </c>
      <c r="B22" s="19">
        <f>B5/0.03</f>
        <v>1333333.333</v>
      </c>
    </row>
    <row r="23" ht="15.75" customHeight="1">
      <c r="A23" s="4" t="s">
        <v>68</v>
      </c>
      <c r="B23" s="19">
        <f>B5/0.035</f>
        <v>1142857.143</v>
      </c>
    </row>
    <row r="24" ht="15.75" customHeight="1">
      <c r="A24" s="4" t="s">
        <v>69</v>
      </c>
      <c r="B24" s="19">
        <f>B5/0.04</f>
        <v>1000000</v>
      </c>
    </row>
    <row r="25" ht="15.75" customHeight="1">
      <c r="A25" s="4" t="s">
        <v>70</v>
      </c>
      <c r="B25" s="19">
        <f>B5/0.045</f>
        <v>888888.8889</v>
      </c>
    </row>
    <row r="26" ht="15.75" customHeight="1"/>
    <row r="27" ht="15.75" customHeight="1"/>
    <row r="28" ht="15.75" customHeight="1">
      <c r="A28" s="14" t="s">
        <v>35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28:F28"/>
    <mergeCell ref="A1:E1"/>
  </mergeCells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0"/>
    <col customWidth="1" min="2" max="2" width="18.0"/>
    <col customWidth="1" min="3" max="3" width="40.0"/>
    <col customWidth="1" min="4" max="26" width="8.71"/>
  </cols>
  <sheetData>
    <row r="1">
      <c r="A1" s="1" t="s">
        <v>71</v>
      </c>
    </row>
    <row r="3">
      <c r="A3" s="3" t="s">
        <v>72</v>
      </c>
    </row>
    <row r="4" ht="30.0" customHeight="1">
      <c r="A4" s="27" t="s">
        <v>73</v>
      </c>
    </row>
    <row r="6">
      <c r="A6" s="3" t="s">
        <v>74</v>
      </c>
    </row>
    <row r="7">
      <c r="A7" s="4" t="s">
        <v>3</v>
      </c>
      <c r="B7" s="28">
        <f>Inputs!B5</f>
        <v>35</v>
      </c>
    </row>
    <row r="8">
      <c r="A8" s="4" t="s">
        <v>5</v>
      </c>
      <c r="B8" s="28">
        <f>Inputs!B6</f>
        <v>50</v>
      </c>
    </row>
    <row r="9">
      <c r="A9" s="4" t="s">
        <v>75</v>
      </c>
      <c r="B9" s="22">
        <f>Inputs!B14</f>
        <v>130000</v>
      </c>
    </row>
    <row r="10">
      <c r="A10" s="4" t="s">
        <v>39</v>
      </c>
      <c r="B10" s="22">
        <f>'FIRE Number'!B8</f>
        <v>1000000</v>
      </c>
    </row>
    <row r="11">
      <c r="A11" s="4" t="s">
        <v>21</v>
      </c>
      <c r="B11" s="23">
        <f>Inputs!B17</f>
        <v>0.07</v>
      </c>
    </row>
    <row r="13">
      <c r="A13" s="3" t="s">
        <v>42</v>
      </c>
    </row>
    <row r="14">
      <c r="A14" s="4" t="s">
        <v>76</v>
      </c>
      <c r="B14" s="20">
        <f>B8-B7</f>
        <v>15</v>
      </c>
    </row>
    <row r="15">
      <c r="A15" s="3" t="s">
        <v>42</v>
      </c>
      <c r="B15" s="29">
        <f>B10/((1+B11)^B14)</f>
        <v>362446.0196</v>
      </c>
      <c r="C15" s="6" t="s">
        <v>77</v>
      </c>
    </row>
    <row r="17">
      <c r="A17" s="3" t="s">
        <v>78</v>
      </c>
      <c r="B17" s="30" t="str">
        <f>IF(B9&gt;=B15,"YES! You can coast!","Not yet")</f>
        <v>Not yet</v>
      </c>
    </row>
    <row r="18">
      <c r="A18" s="4" t="s">
        <v>79</v>
      </c>
      <c r="B18" s="19">
        <f>MAX(0,B15-B9)</f>
        <v>232446.0196</v>
      </c>
    </row>
    <row r="21" ht="15.75" customHeight="1">
      <c r="A21" s="3" t="s">
        <v>80</v>
      </c>
    </row>
    <row r="22" ht="15.75" customHeight="1">
      <c r="A22" s="4" t="s">
        <v>81</v>
      </c>
      <c r="B22" s="19">
        <f>B10/((1+B11)^(55-B7))</f>
        <v>258419.0028</v>
      </c>
    </row>
    <row r="23" ht="15.75" customHeight="1">
      <c r="A23" s="4" t="s">
        <v>82</v>
      </c>
      <c r="B23" s="19">
        <f>B10/((1+B11)^(60-B7))</f>
        <v>184249.1775</v>
      </c>
    </row>
    <row r="24" ht="15.75" customHeight="1">
      <c r="A24" s="4" t="s">
        <v>83</v>
      </c>
      <c r="B24" s="19">
        <f>B10/((1+B11)^(65-B7))</f>
        <v>131367.1172</v>
      </c>
    </row>
    <row r="25" ht="15.75" customHeight="1">
      <c r="A25" s="4" t="s">
        <v>84</v>
      </c>
      <c r="B25" s="19">
        <f>B10/((1+B11)^(67-B7))</f>
        <v>114741.1277</v>
      </c>
    </row>
    <row r="26" ht="15.75" customHeight="1"/>
    <row r="27" ht="15.75" customHeight="1"/>
    <row r="28" ht="15.75" customHeight="1">
      <c r="A28" s="14" t="s">
        <v>35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4:C4"/>
    <mergeCell ref="A28:F28"/>
    <mergeCell ref="A1:E1"/>
  </mergeCells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6" width="15.0"/>
    <col customWidth="1" min="7" max="26" width="8.71"/>
  </cols>
  <sheetData>
    <row r="1">
      <c r="A1" s="1" t="s">
        <v>85</v>
      </c>
    </row>
    <row r="3">
      <c r="A3" s="4" t="s">
        <v>86</v>
      </c>
      <c r="C3" s="22">
        <f>Inputs!B14</f>
        <v>130000</v>
      </c>
    </row>
    <row r="4">
      <c r="A4" s="4" t="s">
        <v>87</v>
      </c>
      <c r="C4" s="22">
        <f>'FIRE Number'!B8</f>
        <v>1000000</v>
      </c>
    </row>
    <row r="5">
      <c r="A5" s="4" t="s">
        <v>88</v>
      </c>
      <c r="C5" s="22">
        <f>Inputs!B13</f>
        <v>35000</v>
      </c>
    </row>
    <row r="7">
      <c r="A7" s="31" t="s">
        <v>89</v>
      </c>
      <c r="B7" s="31" t="s">
        <v>90</v>
      </c>
      <c r="C7" s="31" t="s">
        <v>18</v>
      </c>
      <c r="D7" s="31" t="s">
        <v>91</v>
      </c>
      <c r="E7" s="31" t="s">
        <v>92</v>
      </c>
      <c r="F7" s="31" t="s">
        <v>39</v>
      </c>
    </row>
    <row r="8">
      <c r="A8" s="32">
        <v>0.0</v>
      </c>
      <c r="B8" s="33">
        <f>Inputs!B5</f>
        <v>35</v>
      </c>
      <c r="C8" s="34">
        <f>Inputs!B14</f>
        <v>130000</v>
      </c>
      <c r="D8" s="35">
        <v>0.0</v>
      </c>
      <c r="E8" s="35">
        <v>0.0</v>
      </c>
      <c r="F8" s="34">
        <f>'FIRE Number'!B8</f>
        <v>1000000</v>
      </c>
    </row>
    <row r="9">
      <c r="A9" s="32">
        <v>1.0</v>
      </c>
      <c r="B9" s="36">
        <f t="shared" ref="B9:B48" si="1">B8+1</f>
        <v>36</v>
      </c>
      <c r="C9" s="37">
        <f t="shared" ref="C9:C48" si="2">C8+D9+E9</f>
        <v>174100</v>
      </c>
      <c r="D9" s="37">
        <f>C8*Inputs!$B$17</f>
        <v>9100</v>
      </c>
      <c r="E9" s="34">
        <f>Inputs!$B$13</f>
        <v>35000</v>
      </c>
      <c r="F9" s="37">
        <f t="shared" ref="F9:F48" si="3">F8</f>
        <v>1000000</v>
      </c>
    </row>
    <row r="10">
      <c r="A10" s="32">
        <v>2.0</v>
      </c>
      <c r="B10" s="36">
        <f t="shared" si="1"/>
        <v>37</v>
      </c>
      <c r="C10" s="37">
        <f t="shared" si="2"/>
        <v>221287</v>
      </c>
      <c r="D10" s="37">
        <f>C9*Inputs!$B$17</f>
        <v>12187</v>
      </c>
      <c r="E10" s="34">
        <f>Inputs!$B$13</f>
        <v>35000</v>
      </c>
      <c r="F10" s="37">
        <f t="shared" si="3"/>
        <v>1000000</v>
      </c>
    </row>
    <row r="11">
      <c r="A11" s="32">
        <v>3.0</v>
      </c>
      <c r="B11" s="36">
        <f t="shared" si="1"/>
        <v>38</v>
      </c>
      <c r="C11" s="37">
        <f t="shared" si="2"/>
        <v>271777.09</v>
      </c>
      <c r="D11" s="37">
        <f>C10*Inputs!$B$17</f>
        <v>15490.09</v>
      </c>
      <c r="E11" s="34">
        <f>Inputs!$B$13</f>
        <v>35000</v>
      </c>
      <c r="F11" s="37">
        <f t="shared" si="3"/>
        <v>1000000</v>
      </c>
    </row>
    <row r="12">
      <c r="A12" s="32">
        <v>4.0</v>
      </c>
      <c r="B12" s="36">
        <f t="shared" si="1"/>
        <v>39</v>
      </c>
      <c r="C12" s="37">
        <f t="shared" si="2"/>
        <v>325801.4863</v>
      </c>
      <c r="D12" s="37">
        <f>C11*Inputs!$B$17</f>
        <v>19024.3963</v>
      </c>
      <c r="E12" s="34">
        <f>Inputs!$B$13</f>
        <v>35000</v>
      </c>
      <c r="F12" s="37">
        <f t="shared" si="3"/>
        <v>1000000</v>
      </c>
    </row>
    <row r="13">
      <c r="A13" s="32">
        <v>5.0</v>
      </c>
      <c r="B13" s="36">
        <f t="shared" si="1"/>
        <v>40</v>
      </c>
      <c r="C13" s="37">
        <f t="shared" si="2"/>
        <v>383607.5903</v>
      </c>
      <c r="D13" s="37">
        <f>C12*Inputs!$B$17</f>
        <v>22806.10404</v>
      </c>
      <c r="E13" s="34">
        <f>Inputs!$B$13</f>
        <v>35000</v>
      </c>
      <c r="F13" s="37">
        <f t="shared" si="3"/>
        <v>1000000</v>
      </c>
    </row>
    <row r="14">
      <c r="A14" s="32">
        <v>6.0</v>
      </c>
      <c r="B14" s="36">
        <f t="shared" si="1"/>
        <v>41</v>
      </c>
      <c r="C14" s="37">
        <f t="shared" si="2"/>
        <v>445460.1217</v>
      </c>
      <c r="D14" s="37">
        <f>C13*Inputs!$B$17</f>
        <v>26852.53132</v>
      </c>
      <c r="E14" s="34">
        <f>Inputs!$B$13</f>
        <v>35000</v>
      </c>
      <c r="F14" s="37">
        <f t="shared" si="3"/>
        <v>1000000</v>
      </c>
    </row>
    <row r="15">
      <c r="A15" s="32">
        <v>7.0</v>
      </c>
      <c r="B15" s="36">
        <f t="shared" si="1"/>
        <v>42</v>
      </c>
      <c r="C15" s="37">
        <f t="shared" si="2"/>
        <v>511642.3302</v>
      </c>
      <c r="D15" s="37">
        <f>C14*Inputs!$B$17</f>
        <v>31182.20852</v>
      </c>
      <c r="E15" s="34">
        <f>Inputs!$B$13</f>
        <v>35000</v>
      </c>
      <c r="F15" s="37">
        <f t="shared" si="3"/>
        <v>1000000</v>
      </c>
    </row>
    <row r="16">
      <c r="A16" s="32">
        <v>8.0</v>
      </c>
      <c r="B16" s="36">
        <f t="shared" si="1"/>
        <v>43</v>
      </c>
      <c r="C16" s="37">
        <f t="shared" si="2"/>
        <v>582457.2933</v>
      </c>
      <c r="D16" s="37">
        <f>C15*Inputs!$B$17</f>
        <v>35814.96311</v>
      </c>
      <c r="E16" s="34">
        <f>Inputs!$B$13</f>
        <v>35000</v>
      </c>
      <c r="F16" s="37">
        <f t="shared" si="3"/>
        <v>1000000</v>
      </c>
    </row>
    <row r="17">
      <c r="A17" s="32">
        <v>9.0</v>
      </c>
      <c r="B17" s="36">
        <f t="shared" si="1"/>
        <v>44</v>
      </c>
      <c r="C17" s="37">
        <f t="shared" si="2"/>
        <v>658229.3038</v>
      </c>
      <c r="D17" s="37">
        <f>C16*Inputs!$B$17</f>
        <v>40772.01053</v>
      </c>
      <c r="E17" s="34">
        <f>Inputs!$B$13</f>
        <v>35000</v>
      </c>
      <c r="F17" s="37">
        <f t="shared" si="3"/>
        <v>1000000</v>
      </c>
    </row>
    <row r="18">
      <c r="A18" s="32">
        <v>10.0</v>
      </c>
      <c r="B18" s="36">
        <f t="shared" si="1"/>
        <v>45</v>
      </c>
      <c r="C18" s="37">
        <f t="shared" si="2"/>
        <v>739305.3551</v>
      </c>
      <c r="D18" s="37">
        <f>C17*Inputs!$B$17</f>
        <v>46076.05127</v>
      </c>
      <c r="E18" s="34">
        <f>Inputs!$B$13</f>
        <v>35000</v>
      </c>
      <c r="F18" s="37">
        <f t="shared" si="3"/>
        <v>1000000</v>
      </c>
    </row>
    <row r="19">
      <c r="A19" s="32">
        <v>11.0</v>
      </c>
      <c r="B19" s="36">
        <f t="shared" si="1"/>
        <v>46</v>
      </c>
      <c r="C19" s="37">
        <f t="shared" si="2"/>
        <v>826056.7299</v>
      </c>
      <c r="D19" s="37">
        <f>C18*Inputs!$B$17</f>
        <v>51751.37486</v>
      </c>
      <c r="E19" s="34">
        <f>Inputs!$B$13</f>
        <v>35000</v>
      </c>
      <c r="F19" s="37">
        <f t="shared" si="3"/>
        <v>1000000</v>
      </c>
    </row>
    <row r="20">
      <c r="A20" s="32">
        <v>12.0</v>
      </c>
      <c r="B20" s="36">
        <f t="shared" si="1"/>
        <v>47</v>
      </c>
      <c r="C20" s="37">
        <f t="shared" si="2"/>
        <v>918880.701</v>
      </c>
      <c r="D20" s="37">
        <f>C19*Inputs!$B$17</f>
        <v>57823.9711</v>
      </c>
      <c r="E20" s="34">
        <f>Inputs!$B$13</f>
        <v>35000</v>
      </c>
      <c r="F20" s="37">
        <f t="shared" si="3"/>
        <v>1000000</v>
      </c>
    </row>
    <row r="21" ht="15.75" customHeight="1">
      <c r="A21" s="32">
        <v>13.0</v>
      </c>
      <c r="B21" s="36">
        <f t="shared" si="1"/>
        <v>48</v>
      </c>
      <c r="C21" s="37">
        <f t="shared" si="2"/>
        <v>1018202.35</v>
      </c>
      <c r="D21" s="37">
        <f>C20*Inputs!$B$17</f>
        <v>64321.64907</v>
      </c>
      <c r="E21" s="34">
        <f>Inputs!$B$13</f>
        <v>35000</v>
      </c>
      <c r="F21" s="37">
        <f t="shared" si="3"/>
        <v>1000000</v>
      </c>
    </row>
    <row r="22" ht="15.75" customHeight="1">
      <c r="A22" s="32">
        <v>14.0</v>
      </c>
      <c r="B22" s="36">
        <f t="shared" si="1"/>
        <v>49</v>
      </c>
      <c r="C22" s="37">
        <f t="shared" si="2"/>
        <v>1124476.515</v>
      </c>
      <c r="D22" s="37">
        <f>C21*Inputs!$B$17</f>
        <v>71274.16451</v>
      </c>
      <c r="E22" s="34">
        <f>Inputs!$B$13</f>
        <v>35000</v>
      </c>
      <c r="F22" s="37">
        <f t="shared" si="3"/>
        <v>1000000</v>
      </c>
    </row>
    <row r="23" ht="15.75" customHeight="1">
      <c r="A23" s="32">
        <v>15.0</v>
      </c>
      <c r="B23" s="36">
        <f t="shared" si="1"/>
        <v>50</v>
      </c>
      <c r="C23" s="37">
        <f t="shared" si="2"/>
        <v>1238189.871</v>
      </c>
      <c r="D23" s="37">
        <f>C22*Inputs!$B$17</f>
        <v>78713.35602</v>
      </c>
      <c r="E23" s="34">
        <f>Inputs!$B$13</f>
        <v>35000</v>
      </c>
      <c r="F23" s="37">
        <f t="shared" si="3"/>
        <v>1000000</v>
      </c>
    </row>
    <row r="24" ht="15.75" customHeight="1">
      <c r="A24" s="32">
        <v>16.0</v>
      </c>
      <c r="B24" s="36">
        <f t="shared" si="1"/>
        <v>51</v>
      </c>
      <c r="C24" s="37">
        <f t="shared" si="2"/>
        <v>1359863.162</v>
      </c>
      <c r="D24" s="37">
        <f>C23*Inputs!$B$17</f>
        <v>86673.29095</v>
      </c>
      <c r="E24" s="34">
        <f>Inputs!$B$13</f>
        <v>35000</v>
      </c>
      <c r="F24" s="37">
        <f t="shared" si="3"/>
        <v>1000000</v>
      </c>
    </row>
    <row r="25" ht="15.75" customHeight="1">
      <c r="A25" s="32">
        <v>17.0</v>
      </c>
      <c r="B25" s="36">
        <f t="shared" si="1"/>
        <v>52</v>
      </c>
      <c r="C25" s="37">
        <f t="shared" si="2"/>
        <v>1490053.583</v>
      </c>
      <c r="D25" s="37">
        <f>C24*Inputs!$B$17</f>
        <v>95190.42131</v>
      </c>
      <c r="E25" s="34">
        <f>Inputs!$B$13</f>
        <v>35000</v>
      </c>
      <c r="F25" s="37">
        <f t="shared" si="3"/>
        <v>1000000</v>
      </c>
    </row>
    <row r="26" ht="15.75" customHeight="1">
      <c r="A26" s="32">
        <v>18.0</v>
      </c>
      <c r="B26" s="36">
        <f t="shared" si="1"/>
        <v>53</v>
      </c>
      <c r="C26" s="37">
        <f t="shared" si="2"/>
        <v>1629357.334</v>
      </c>
      <c r="D26" s="37">
        <f>C25*Inputs!$B$17</f>
        <v>104303.7508</v>
      </c>
      <c r="E26" s="34">
        <f>Inputs!$B$13</f>
        <v>35000</v>
      </c>
      <c r="F26" s="37">
        <f t="shared" si="3"/>
        <v>1000000</v>
      </c>
    </row>
    <row r="27" ht="15.75" customHeight="1">
      <c r="A27" s="32">
        <v>19.0</v>
      </c>
      <c r="B27" s="36">
        <f t="shared" si="1"/>
        <v>54</v>
      </c>
      <c r="C27" s="37">
        <f t="shared" si="2"/>
        <v>1778412.347</v>
      </c>
      <c r="D27" s="37">
        <f>C26*Inputs!$B$17</f>
        <v>114055.0134</v>
      </c>
      <c r="E27" s="34">
        <f>Inputs!$B$13</f>
        <v>35000</v>
      </c>
      <c r="F27" s="37">
        <f t="shared" si="3"/>
        <v>1000000</v>
      </c>
    </row>
    <row r="28" ht="15.75" customHeight="1">
      <c r="A28" s="32">
        <v>20.0</v>
      </c>
      <c r="B28" s="36">
        <f t="shared" si="1"/>
        <v>55</v>
      </c>
      <c r="C28" s="37">
        <f t="shared" si="2"/>
        <v>1937901.211</v>
      </c>
      <c r="D28" s="37">
        <f>C27*Inputs!$B$17</f>
        <v>124488.8643</v>
      </c>
      <c r="E28" s="34">
        <f>Inputs!$B$13</f>
        <v>35000</v>
      </c>
      <c r="F28" s="37">
        <f t="shared" si="3"/>
        <v>1000000</v>
      </c>
    </row>
    <row r="29" ht="15.75" customHeight="1">
      <c r="A29" s="32">
        <v>21.0</v>
      </c>
      <c r="B29" s="36">
        <f t="shared" si="1"/>
        <v>56</v>
      </c>
      <c r="C29" s="37">
        <f t="shared" si="2"/>
        <v>2108554.296</v>
      </c>
      <c r="D29" s="37">
        <f>C28*Inputs!$B$17</f>
        <v>135653.0848</v>
      </c>
      <c r="E29" s="34">
        <f>Inputs!$B$13</f>
        <v>35000</v>
      </c>
      <c r="F29" s="37">
        <f t="shared" si="3"/>
        <v>1000000</v>
      </c>
    </row>
    <row r="30" ht="15.75" customHeight="1">
      <c r="A30" s="32">
        <v>22.0</v>
      </c>
      <c r="B30" s="36">
        <f t="shared" si="1"/>
        <v>57</v>
      </c>
      <c r="C30" s="37">
        <f t="shared" si="2"/>
        <v>2291153.097</v>
      </c>
      <c r="D30" s="37">
        <f>C29*Inputs!$B$17</f>
        <v>147598.8007</v>
      </c>
      <c r="E30" s="34">
        <f>Inputs!$B$13</f>
        <v>35000</v>
      </c>
      <c r="F30" s="37">
        <f t="shared" si="3"/>
        <v>1000000</v>
      </c>
    </row>
    <row r="31" ht="15.75" customHeight="1">
      <c r="A31" s="32">
        <v>23.0</v>
      </c>
      <c r="B31" s="36">
        <f t="shared" si="1"/>
        <v>58</v>
      </c>
      <c r="C31" s="37">
        <f t="shared" si="2"/>
        <v>2486533.814</v>
      </c>
      <c r="D31" s="37">
        <f>C30*Inputs!$B$17</f>
        <v>160380.7168</v>
      </c>
      <c r="E31" s="34">
        <f>Inputs!$B$13</f>
        <v>35000</v>
      </c>
      <c r="F31" s="37">
        <f t="shared" si="3"/>
        <v>1000000</v>
      </c>
    </row>
    <row r="32" ht="15.75" customHeight="1">
      <c r="A32" s="32">
        <v>24.0</v>
      </c>
      <c r="B32" s="36">
        <f t="shared" si="1"/>
        <v>59</v>
      </c>
      <c r="C32" s="37">
        <f t="shared" si="2"/>
        <v>2695591.181</v>
      </c>
      <c r="D32" s="37">
        <f>C31*Inputs!$B$17</f>
        <v>174057.367</v>
      </c>
      <c r="E32" s="34">
        <f>Inputs!$B$13</f>
        <v>35000</v>
      </c>
      <c r="F32" s="37">
        <f t="shared" si="3"/>
        <v>1000000</v>
      </c>
    </row>
    <row r="33" ht="15.75" customHeight="1">
      <c r="A33" s="32">
        <v>25.0</v>
      </c>
      <c r="B33" s="36">
        <f t="shared" si="1"/>
        <v>60</v>
      </c>
      <c r="C33" s="37">
        <f t="shared" si="2"/>
        <v>2919282.563</v>
      </c>
      <c r="D33" s="37">
        <f>C32*Inputs!$B$17</f>
        <v>188691.3826</v>
      </c>
      <c r="E33" s="34">
        <f>Inputs!$B$13</f>
        <v>35000</v>
      </c>
      <c r="F33" s="37">
        <f t="shared" si="3"/>
        <v>1000000</v>
      </c>
    </row>
    <row r="34" ht="15.75" customHeight="1">
      <c r="A34" s="32">
        <v>26.0</v>
      </c>
      <c r="B34" s="36">
        <f t="shared" si="1"/>
        <v>61</v>
      </c>
      <c r="C34" s="37">
        <f t="shared" si="2"/>
        <v>3158632.343</v>
      </c>
      <c r="D34" s="37">
        <f>C33*Inputs!$B$17</f>
        <v>204349.7794</v>
      </c>
      <c r="E34" s="34">
        <f>Inputs!$B$13</f>
        <v>35000</v>
      </c>
      <c r="F34" s="37">
        <f t="shared" si="3"/>
        <v>1000000</v>
      </c>
    </row>
    <row r="35" ht="15.75" customHeight="1">
      <c r="A35" s="32">
        <v>27.0</v>
      </c>
      <c r="B35" s="36">
        <f t="shared" si="1"/>
        <v>62</v>
      </c>
      <c r="C35" s="37">
        <f t="shared" si="2"/>
        <v>3414736.607</v>
      </c>
      <c r="D35" s="37">
        <f>C34*Inputs!$B$17</f>
        <v>221104.264</v>
      </c>
      <c r="E35" s="34">
        <f>Inputs!$B$13</f>
        <v>35000</v>
      </c>
      <c r="F35" s="37">
        <f t="shared" si="3"/>
        <v>1000000</v>
      </c>
    </row>
    <row r="36" ht="15.75" customHeight="1">
      <c r="A36" s="32">
        <v>28.0</v>
      </c>
      <c r="B36" s="36">
        <f t="shared" si="1"/>
        <v>63</v>
      </c>
      <c r="C36" s="37">
        <f t="shared" si="2"/>
        <v>3688768.169</v>
      </c>
      <c r="D36" s="37">
        <f>C35*Inputs!$B$17</f>
        <v>239031.5625</v>
      </c>
      <c r="E36" s="34">
        <f>Inputs!$B$13</f>
        <v>35000</v>
      </c>
      <c r="F36" s="37">
        <f t="shared" si="3"/>
        <v>1000000</v>
      </c>
    </row>
    <row r="37" ht="15.75" customHeight="1">
      <c r="A37" s="32">
        <v>29.0</v>
      </c>
      <c r="B37" s="36">
        <f t="shared" si="1"/>
        <v>64</v>
      </c>
      <c r="C37" s="37">
        <f t="shared" si="2"/>
        <v>3981981.941</v>
      </c>
      <c r="D37" s="37">
        <f>C36*Inputs!$B$17</f>
        <v>258213.7718</v>
      </c>
      <c r="E37" s="34">
        <f>Inputs!$B$13</f>
        <v>35000</v>
      </c>
      <c r="F37" s="37">
        <f t="shared" si="3"/>
        <v>1000000</v>
      </c>
    </row>
    <row r="38" ht="15.75" customHeight="1">
      <c r="A38" s="32">
        <v>30.0</v>
      </c>
      <c r="B38" s="36">
        <f t="shared" si="1"/>
        <v>65</v>
      </c>
      <c r="C38" s="37">
        <f t="shared" si="2"/>
        <v>4295720.677</v>
      </c>
      <c r="D38" s="37">
        <f>C37*Inputs!$B$17</f>
        <v>278738.7359</v>
      </c>
      <c r="E38" s="34">
        <f>Inputs!$B$13</f>
        <v>35000</v>
      </c>
      <c r="F38" s="37">
        <f t="shared" si="3"/>
        <v>1000000</v>
      </c>
    </row>
    <row r="39" ht="15.75" customHeight="1">
      <c r="A39" s="32">
        <v>31.0</v>
      </c>
      <c r="B39" s="36">
        <f t="shared" si="1"/>
        <v>66</v>
      </c>
      <c r="C39" s="37">
        <f t="shared" si="2"/>
        <v>4631421.124</v>
      </c>
      <c r="D39" s="37">
        <f>C38*Inputs!$B$17</f>
        <v>300700.4474</v>
      </c>
      <c r="E39" s="34">
        <f>Inputs!$B$13</f>
        <v>35000</v>
      </c>
      <c r="F39" s="37">
        <f t="shared" si="3"/>
        <v>1000000</v>
      </c>
    </row>
    <row r="40" ht="15.75" customHeight="1">
      <c r="A40" s="32">
        <v>32.0</v>
      </c>
      <c r="B40" s="36">
        <f t="shared" si="1"/>
        <v>67</v>
      </c>
      <c r="C40" s="37">
        <f t="shared" si="2"/>
        <v>4990620.603</v>
      </c>
      <c r="D40" s="37">
        <f>C39*Inputs!$B$17</f>
        <v>324199.4787</v>
      </c>
      <c r="E40" s="34">
        <f>Inputs!$B$13</f>
        <v>35000</v>
      </c>
      <c r="F40" s="37">
        <f t="shared" si="3"/>
        <v>1000000</v>
      </c>
    </row>
    <row r="41" ht="15.75" customHeight="1">
      <c r="A41" s="32">
        <v>33.0</v>
      </c>
      <c r="B41" s="36">
        <f t="shared" si="1"/>
        <v>68</v>
      </c>
      <c r="C41" s="37">
        <f t="shared" si="2"/>
        <v>5374964.045</v>
      </c>
      <c r="D41" s="37">
        <f>C40*Inputs!$B$17</f>
        <v>349343.4422</v>
      </c>
      <c r="E41" s="34">
        <f>Inputs!$B$13</f>
        <v>35000</v>
      </c>
      <c r="F41" s="37">
        <f t="shared" si="3"/>
        <v>1000000</v>
      </c>
    </row>
    <row r="42" ht="15.75" customHeight="1">
      <c r="A42" s="32">
        <v>34.0</v>
      </c>
      <c r="B42" s="36">
        <f t="shared" si="1"/>
        <v>69</v>
      </c>
      <c r="C42" s="37">
        <f t="shared" si="2"/>
        <v>5786211.528</v>
      </c>
      <c r="D42" s="37">
        <f>C41*Inputs!$B$17</f>
        <v>376247.4832</v>
      </c>
      <c r="E42" s="34">
        <f>Inputs!$B$13</f>
        <v>35000</v>
      </c>
      <c r="F42" s="37">
        <f t="shared" si="3"/>
        <v>1000000</v>
      </c>
    </row>
    <row r="43" ht="15.75" customHeight="1">
      <c r="A43" s="32">
        <v>35.0</v>
      </c>
      <c r="B43" s="36">
        <f t="shared" si="1"/>
        <v>70</v>
      </c>
      <c r="C43" s="37">
        <f t="shared" si="2"/>
        <v>6226246.335</v>
      </c>
      <c r="D43" s="37">
        <f>C42*Inputs!$B$17</f>
        <v>405034.807</v>
      </c>
      <c r="E43" s="34">
        <f>Inputs!$B$13</f>
        <v>35000</v>
      </c>
      <c r="F43" s="37">
        <f t="shared" si="3"/>
        <v>1000000</v>
      </c>
    </row>
    <row r="44" ht="15.75" customHeight="1">
      <c r="A44" s="32">
        <v>36.0</v>
      </c>
      <c r="B44" s="36">
        <f t="shared" si="1"/>
        <v>71</v>
      </c>
      <c r="C44" s="37">
        <f t="shared" si="2"/>
        <v>6697083.579</v>
      </c>
      <c r="D44" s="37">
        <f>C43*Inputs!$B$17</f>
        <v>435837.2435</v>
      </c>
      <c r="E44" s="34">
        <f>Inputs!$B$13</f>
        <v>35000</v>
      </c>
      <c r="F44" s="37">
        <f t="shared" si="3"/>
        <v>1000000</v>
      </c>
    </row>
    <row r="45" ht="15.75" customHeight="1">
      <c r="A45" s="32">
        <v>37.0</v>
      </c>
      <c r="B45" s="36">
        <f t="shared" si="1"/>
        <v>72</v>
      </c>
      <c r="C45" s="37">
        <f t="shared" si="2"/>
        <v>7200879.429</v>
      </c>
      <c r="D45" s="37">
        <f>C44*Inputs!$B$17</f>
        <v>468795.8505</v>
      </c>
      <c r="E45" s="34">
        <f>Inputs!$B$13</f>
        <v>35000</v>
      </c>
      <c r="F45" s="37">
        <f t="shared" si="3"/>
        <v>1000000</v>
      </c>
    </row>
    <row r="46" ht="15.75" customHeight="1">
      <c r="A46" s="32">
        <v>38.0</v>
      </c>
      <c r="B46" s="36">
        <f t="shared" si="1"/>
        <v>73</v>
      </c>
      <c r="C46" s="37">
        <f t="shared" si="2"/>
        <v>7739940.989</v>
      </c>
      <c r="D46" s="37">
        <f>C45*Inputs!$B$17</f>
        <v>504061.5601</v>
      </c>
      <c r="E46" s="34">
        <f>Inputs!$B$13</f>
        <v>35000</v>
      </c>
      <c r="F46" s="37">
        <f t="shared" si="3"/>
        <v>1000000</v>
      </c>
    </row>
    <row r="47" ht="15.75" customHeight="1">
      <c r="A47" s="32">
        <v>39.0</v>
      </c>
      <c r="B47" s="36">
        <f t="shared" si="1"/>
        <v>74</v>
      </c>
      <c r="C47" s="37">
        <f t="shared" si="2"/>
        <v>8316736.859</v>
      </c>
      <c r="D47" s="37">
        <f>C46*Inputs!$B$17</f>
        <v>541795.8693</v>
      </c>
      <c r="E47" s="34">
        <f>Inputs!$B$13</f>
        <v>35000</v>
      </c>
      <c r="F47" s="37">
        <f t="shared" si="3"/>
        <v>1000000</v>
      </c>
    </row>
    <row r="48" ht="15.75" customHeight="1">
      <c r="A48" s="32">
        <v>40.0</v>
      </c>
      <c r="B48" s="36">
        <f t="shared" si="1"/>
        <v>75</v>
      </c>
      <c r="C48" s="37">
        <f t="shared" si="2"/>
        <v>8933908.439</v>
      </c>
      <c r="D48" s="37">
        <f>C47*Inputs!$B$17</f>
        <v>582171.5801</v>
      </c>
      <c r="E48" s="34">
        <f>Inputs!$B$13</f>
        <v>35000</v>
      </c>
      <c r="F48" s="37">
        <f t="shared" si="3"/>
        <v>1000000</v>
      </c>
    </row>
    <row r="49" ht="15.75" customHeight="1"/>
    <row r="50" ht="15.75" customHeight="1"/>
    <row r="51" ht="15.75" customHeight="1">
      <c r="A51" s="3" t="s">
        <v>93</v>
      </c>
      <c r="C51" s="38">
        <f t="array" ref="C51">IFERROR(MATCH(TRUE,INDEX(C8:C48&gt;=F8:F48,0),0)-1,"40+")</f>
        <v>13</v>
      </c>
    </row>
    <row r="52" ht="15.75" customHeight="1"/>
    <row r="53" ht="15.75" customHeight="1"/>
    <row r="54" ht="15.75" customHeight="1">
      <c r="A54" s="14" t="s">
        <v>35</v>
      </c>
    </row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3:B3"/>
    <mergeCell ref="A4:B4"/>
    <mergeCell ref="A5:B5"/>
    <mergeCell ref="A51:B51"/>
    <mergeCell ref="A54:F54"/>
    <mergeCell ref="A1:E1"/>
  </mergeCells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2026-01-20T13:21:09Z</dcterms:created>
  <dc:creator>openpyxl</dc:creator>
</cp:coreProperties>
</file>